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9001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ies\Desktop\Resources Feb2018\"/>
    </mc:Choice>
  </mc:AlternateContent>
  <bookViews>
    <workbookView xWindow="0" yWindow="0" windowWidth="18780" windowHeight="7635" tabRatio="500" xr2:uid="{00000000-000D-0000-FFFF-FFFF00000000}"/>
  </bookViews>
  <sheets>
    <sheet name="Sheet1" sheetId="1" r:id="rId1"/>
    <sheet name="Sheet2" sheetId="2" r:id="rId2"/>
    <sheet name="Sheet3" sheetId="3" r:id="rId3"/>
  </sheets>
  <calcPr calcId="17102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J4" i="1" l="1"/>
  <c r="M18" i="1"/>
  <c r="J5" i="1"/>
  <c r="M19" i="1"/>
  <c r="J6" i="1"/>
  <c r="M20" i="1"/>
  <c r="J7" i="1"/>
  <c r="M21" i="1"/>
  <c r="J8" i="1"/>
  <c r="M22" i="1"/>
  <c r="J9" i="1"/>
  <c r="M23" i="1"/>
  <c r="J3" i="1"/>
  <c r="M17" i="1"/>
  <c r="N3" i="1"/>
  <c r="N4" i="1"/>
  <c r="N13" i="1" s="1"/>
  <c r="N5" i="1"/>
  <c r="N6" i="1"/>
  <c r="N7" i="1"/>
  <c r="N8" i="1"/>
  <c r="O8" i="1" s="1"/>
  <c r="P8" i="1" s="1"/>
  <c r="R8" i="1" s="1"/>
  <c r="N9" i="1"/>
  <c r="N10" i="1"/>
  <c r="N11" i="1"/>
  <c r="N12" i="1"/>
  <c r="O12" i="1" s="1"/>
  <c r="P12" i="1" s="1"/>
  <c r="R12" i="1" s="1"/>
  <c r="M13" i="1"/>
  <c r="I13" i="1"/>
  <c r="J10" i="1"/>
  <c r="K10" i="1" s="1"/>
  <c r="J11" i="1"/>
  <c r="J12" i="1"/>
  <c r="C13" i="1"/>
  <c r="G3" i="1"/>
  <c r="H3" i="1"/>
  <c r="G4" i="1"/>
  <c r="H4" i="1" s="1"/>
  <c r="G5" i="1"/>
  <c r="H5" i="1"/>
  <c r="G6" i="1"/>
  <c r="H6" i="1" s="1"/>
  <c r="G7" i="1"/>
  <c r="H7" i="1"/>
  <c r="G8" i="1"/>
  <c r="H8" i="1" s="1"/>
  <c r="G9" i="1"/>
  <c r="H9" i="1"/>
  <c r="G10" i="1"/>
  <c r="H10" i="1" s="1"/>
  <c r="G11" i="1"/>
  <c r="H11" i="1"/>
  <c r="G12" i="1"/>
  <c r="H12" i="1" s="1"/>
  <c r="O5" i="1"/>
  <c r="P5" i="1" s="1"/>
  <c r="R5" i="1" s="1"/>
  <c r="O6" i="1"/>
  <c r="P6" i="1" s="1"/>
  <c r="R6" i="1" s="1"/>
  <c r="O7" i="1"/>
  <c r="P7" i="1"/>
  <c r="R7" i="1" s="1"/>
  <c r="O9" i="1"/>
  <c r="P9" i="1" s="1"/>
  <c r="R9" i="1" s="1"/>
  <c r="O10" i="1"/>
  <c r="P10" i="1" s="1"/>
  <c r="R10" i="1" s="1"/>
  <c r="O11" i="1"/>
  <c r="P11" i="1"/>
  <c r="R11" i="1" s="1"/>
  <c r="O3" i="1"/>
  <c r="K4" i="1"/>
  <c r="K5" i="1"/>
  <c r="K6" i="1"/>
  <c r="K7" i="1"/>
  <c r="K8" i="1"/>
  <c r="K9" i="1"/>
  <c r="K11" i="1"/>
  <c r="K12" i="1"/>
  <c r="K3" i="1"/>
  <c r="E19" i="2"/>
  <c r="E18" i="2"/>
  <c r="E17" i="2"/>
  <c r="E20" i="2" s="1"/>
  <c r="C13" i="2"/>
  <c r="C15" i="2"/>
  <c r="C7" i="2"/>
  <c r="I7" i="3"/>
  <c r="J10" i="3"/>
  <c r="K7" i="3"/>
  <c r="C4" i="3"/>
  <c r="G4" i="3" s="1"/>
  <c r="C5" i="3"/>
  <c r="D5" i="3" s="1"/>
  <c r="F5" i="3" s="1"/>
  <c r="C6" i="3"/>
  <c r="G6" i="3" s="1"/>
  <c r="C7" i="3"/>
  <c r="D7" i="3" s="1"/>
  <c r="C8" i="3"/>
  <c r="D8" i="3" s="1"/>
  <c r="F8" i="3" s="1"/>
  <c r="C9" i="3"/>
  <c r="D9" i="3" s="1"/>
  <c r="F9" i="3" s="1"/>
  <c r="C3" i="3"/>
  <c r="G3" i="3" s="1"/>
  <c r="C10" i="3"/>
  <c r="F7" i="3" l="1"/>
  <c r="L7" i="3" s="1"/>
  <c r="M7" i="3" s="1"/>
  <c r="H7" i="3"/>
  <c r="I3" i="3"/>
  <c r="G10" i="3"/>
  <c r="I6" i="3"/>
  <c r="K6" i="3" s="1"/>
  <c r="I4" i="3"/>
  <c r="K4" i="3" s="1"/>
  <c r="G5" i="3"/>
  <c r="D6" i="3"/>
  <c r="F6" i="3" s="1"/>
  <c r="L6" i="3" s="1"/>
  <c r="M6" i="3" s="1"/>
  <c r="J13" i="1"/>
  <c r="K13" i="1" s="1"/>
  <c r="G9" i="3"/>
  <c r="D3" i="3"/>
  <c r="F3" i="3" s="1"/>
  <c r="P3" i="1"/>
  <c r="R3" i="1" s="1"/>
  <c r="O4" i="1"/>
  <c r="P4" i="1" s="1"/>
  <c r="R4" i="1" s="1"/>
  <c r="G8" i="3"/>
  <c r="I8" i="3" s="1"/>
  <c r="K8" i="3" s="1"/>
  <c r="L8" i="3" s="1"/>
  <c r="M8" i="3" s="1"/>
  <c r="D4" i="3"/>
  <c r="F4" i="3" s="1"/>
  <c r="L4" i="3" s="1"/>
  <c r="M4" i="3" s="1"/>
  <c r="H6" i="3" l="1"/>
  <c r="F10" i="3"/>
  <c r="I5" i="3"/>
  <c r="K5" i="3" s="1"/>
  <c r="L5" i="3" s="1"/>
  <c r="M5" i="3" s="1"/>
  <c r="H5" i="3"/>
  <c r="O13" i="1"/>
  <c r="K3" i="3"/>
  <c r="I10" i="3"/>
  <c r="I9" i="3"/>
  <c r="K9" i="3" s="1"/>
  <c r="L9" i="3" s="1"/>
  <c r="M9" i="3" s="1"/>
  <c r="H9" i="3"/>
  <c r="H4" i="3"/>
  <c r="H3" i="3"/>
  <c r="K10" i="3" l="1"/>
  <c r="L3" i="3"/>
  <c r="L10" i="3" l="1"/>
  <c r="M3" i="3"/>
</calcChain>
</file>

<file path=xl/sharedStrings.xml><?xml version="1.0" encoding="utf-8"?>
<sst xmlns="http://schemas.openxmlformats.org/spreadsheetml/2006/main" count="104" uniqueCount="81">
  <si>
    <t>* rent, seeds, mulch,wire</t>
  </si>
  <si>
    <t>notes: management time</t>
  </si>
  <si>
    <t>wage rate</t>
  </si>
  <si>
    <t>better yield</t>
  </si>
  <si>
    <t>worse yield</t>
  </si>
  <si>
    <t>beans</t>
    <phoneticPr fontId="3" type="noConversion"/>
  </si>
  <si>
    <t>aubergines</t>
    <phoneticPr fontId="3" type="noConversion"/>
  </si>
  <si>
    <t>tomatoes</t>
    <phoneticPr fontId="3" type="noConversion"/>
  </si>
  <si>
    <t>herbs</t>
    <phoneticPr fontId="3" type="noConversion"/>
  </si>
  <si>
    <t>flowers</t>
    <phoneticPr fontId="3" type="noConversion"/>
  </si>
  <si>
    <t>labour per m2</t>
    <phoneticPr fontId="3" type="noConversion"/>
  </si>
  <si>
    <t>cuc</t>
    <phoneticPr fontId="3" type="noConversion"/>
  </si>
  <si>
    <t>salad</t>
    <phoneticPr fontId="3" type="noConversion"/>
  </si>
  <si>
    <t>total</t>
    <phoneticPr fontId="3" type="noConversion"/>
  </si>
  <si>
    <t>est yield</t>
    <phoneticPr fontId="3" type="noConversion"/>
  </si>
  <si>
    <t>mins/item</t>
    <phoneticPr fontId="3" type="noConversion"/>
  </si>
  <si>
    <t>yield units/kg</t>
    <phoneticPr fontId="3" type="noConversion"/>
  </si>
  <si>
    <t>worse yield</t>
    <phoneticPr fontId="3" type="noConversion"/>
  </si>
  <si>
    <t>butternut squash</t>
    <phoneticPr fontId="3" type="noConversion"/>
  </si>
  <si>
    <t>basil</t>
    <phoneticPr fontId="3" type="noConversion"/>
  </si>
  <si>
    <t>Tunnel costs</t>
    <phoneticPr fontId="3" type="noConversion"/>
  </si>
  <si>
    <t>Materials</t>
    <phoneticPr fontId="3" type="noConversion"/>
  </si>
  <si>
    <t>Labour</t>
    <phoneticPr fontId="3" type="noConversion"/>
  </si>
  <si>
    <t xml:space="preserve">concrete </t>
    <phoneticPr fontId="3" type="noConversion"/>
  </si>
  <si>
    <t>Over 10 years skin replaced</t>
    <phoneticPr fontId="3" type="noConversion"/>
  </si>
  <si>
    <t>Total initial costs</t>
    <phoneticPr fontId="3" type="noConversion"/>
  </si>
  <si>
    <t>costs over 10 years</t>
    <phoneticPr fontId="3" type="noConversion"/>
  </si>
  <si>
    <t>cost per year</t>
    <phoneticPr fontId="3" type="noConversion"/>
  </si>
  <si>
    <t>total area</t>
    <phoneticPr fontId="3" type="noConversion"/>
  </si>
  <si>
    <t>9 by 30</t>
    <phoneticPr fontId="3" type="noConversion"/>
  </si>
  <si>
    <t>usable are 90%</t>
    <phoneticPr fontId="3" type="noConversion"/>
  </si>
  <si>
    <t>cost per m2 per year</t>
    <phoneticPr fontId="3" type="noConversion"/>
  </si>
  <si>
    <t>allocate costs per week</t>
    <phoneticPr fontId="3" type="noConversion"/>
  </si>
  <si>
    <t>peak</t>
    <phoneticPr fontId="3" type="noConversion"/>
  </si>
  <si>
    <t>shoulder</t>
    <phoneticPr fontId="3" type="noConversion"/>
  </si>
  <si>
    <t>off peak</t>
    <phoneticPr fontId="3" type="noConversion"/>
  </si>
  <si>
    <t>may 15 - aug 15</t>
    <phoneticPr fontId="3" type="noConversion"/>
  </si>
  <si>
    <t>mar-may, aug-oct</t>
    <phoneticPr fontId="3" type="noConversion"/>
  </si>
  <si>
    <t>oct-mar</t>
    <phoneticPr fontId="3" type="noConversion"/>
  </si>
  <si>
    <t>pence</t>
    <phoneticPr fontId="3" type="noConversion"/>
  </si>
  <si>
    <t>chard</t>
    <phoneticPr fontId="3" type="noConversion"/>
  </si>
  <si>
    <t>spring onion</t>
    <phoneticPr fontId="3" type="noConversion"/>
  </si>
  <si>
    <t>t</t>
    <phoneticPr fontId="3" type="noConversion"/>
  </si>
  <si>
    <t>s</t>
    <phoneticPr fontId="3" type="noConversion"/>
  </si>
  <si>
    <t>y</t>
    <phoneticPr fontId="3" type="noConversion"/>
  </si>
  <si>
    <t>n</t>
    <phoneticPr fontId="3" type="noConversion"/>
  </si>
  <si>
    <t>cont</t>
    <phoneticPr fontId="3" type="noConversion"/>
  </si>
  <si>
    <t>notes: management time</t>
    <phoneticPr fontId="3" type="noConversion"/>
  </si>
  <si>
    <t>* rent, seeds, mulch,wire</t>
    <phoneticPr fontId="3" type="noConversion"/>
  </si>
  <si>
    <t>wage rate</t>
    <phoneticPr fontId="3" type="noConversion"/>
  </si>
  <si>
    <t>better yield</t>
    <phoneticPr fontId="3" type="noConversion"/>
  </si>
  <si>
    <t>Mixed salad leaves</t>
    <phoneticPr fontId="3" type="noConversion"/>
  </si>
  <si>
    <t>cucumber</t>
    <phoneticPr fontId="3" type="noConversion"/>
  </si>
  <si>
    <t>celery</t>
    <phoneticPr fontId="3" type="noConversion"/>
  </si>
  <si>
    <t>chive</t>
    <phoneticPr fontId="3" type="noConversion"/>
  </si>
  <si>
    <t>mini leek</t>
    <phoneticPr fontId="3" type="noConversion"/>
  </si>
  <si>
    <t>radish</t>
    <phoneticPr fontId="3" type="noConversion"/>
  </si>
  <si>
    <t>crop</t>
    <phoneticPr fontId="3" type="noConversion"/>
  </si>
  <si>
    <t>price</t>
    <phoneticPr fontId="3" type="noConversion"/>
  </si>
  <si>
    <t>area</t>
    <phoneticPr fontId="3" type="noConversion"/>
  </si>
  <si>
    <t>sown/transplants</t>
    <phoneticPr fontId="3" type="noConversion"/>
  </si>
  <si>
    <t>mulch</t>
    <phoneticPr fontId="3" type="noConversion"/>
  </si>
  <si>
    <t>cycle length</t>
    <phoneticPr fontId="3" type="noConversion"/>
  </si>
  <si>
    <t>yield</t>
    <phoneticPr fontId="3" type="noConversion"/>
  </si>
  <si>
    <t>per m2</t>
    <phoneticPr fontId="3" type="noConversion"/>
  </si>
  <si>
    <t>sales</t>
    <phoneticPr fontId="3" type="noConversion"/>
  </si>
  <si>
    <t>labour hours</t>
    <phoneticPr fontId="3" type="noConversion"/>
  </si>
  <si>
    <t>lab cost</t>
    <phoneticPr fontId="3" type="noConversion"/>
  </si>
  <si>
    <t xml:space="preserve">labour </t>
    <phoneticPr fontId="3" type="noConversion"/>
  </si>
  <si>
    <t>other costs*</t>
    <phoneticPr fontId="3" type="noConversion"/>
  </si>
  <si>
    <t>total costs</t>
    <phoneticPr fontId="3" type="noConversion"/>
  </si>
  <si>
    <t>margin</t>
    <phoneticPr fontId="3" type="noConversion"/>
  </si>
  <si>
    <t>multicrop</t>
    <phoneticPr fontId="3" type="noConversion"/>
  </si>
  <si>
    <t>net margins</t>
    <phoneticPr fontId="3" type="noConversion"/>
  </si>
  <si>
    <t>crop</t>
  </si>
  <si>
    <t>price</t>
  </si>
  <si>
    <t>area</t>
  </si>
  <si>
    <t>per m2</t>
  </si>
  <si>
    <t>sales</t>
  </si>
  <si>
    <t>cucumber</t>
  </si>
  <si>
    <t>Mixed salad leaves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</si>
</sst>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"/>
  </numFmts>
  <fonts count="4" x14ac:knownFonts="1">
    <font>
      <sz val="10"/>
      <name val="Verdana"/>
    </font>
    <font>
      <b/>
      <sz val="10"/>
      <name val="Verdana"/>
    </font>
    <font>
      <b/>
      <sz val="10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3" fontId="0" fillId="0" borderId="0" xfId="0" applyNumberFormat="1"/>
    <xf numFmtId="2" fontId="0" fillId="0" borderId="0" xfId="0" applyNumberFormat="1"/>
    <xf numFmtId="1" fontId="0" fillId="0" borderId="0" xfId="0" applyNumberFormat="1"/>
    <xf numFmtId="165" fontId="0" fillId="0" borderId="0" xfId="0" applyNumberFormat="1"/>
    <xf numFmtId="1" fontId="0" fillId="0" borderId="0" xfId="0" applyNumberFormat="1"/>
    <xf numFmtId="0" fontId="2" fillId="0" borderId="0" xfId="0" applyFont="1"/>
    <xf numFmtId="1" fontId="2" fillId="0" borderId="0" xfId="0" applyNumberFormat="1" applyFont="1"/>
    <xf numFmtId="0" fontId="1" fillId="0" borderId="0" xfId="0" applyFont="1"/>
    <xf numFmtId="1" fontId="0" fillId="0" borderId="0" xfId="0" applyNumberFormat="1"/>
    <xf numFmtId="1" fontId="1" fillId="0" borderId="0" xfId="0" applyNumberFormat="1" applyFont="1"/>
    <xf numFmtId="165" fontId="1" fillId="0" borderId="0" xfId="0" applyNumberFormat="1" applyFon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23"/>
  <sheetViews>
    <sheetView tabSelected="1" topLeftCell="C2" workbookViewId="0">
      <selection activeCell="O16" sqref="O16"/>
    </sheetView>
  </sheetViews>
  <sheetFormatPr defaultColWidth="11" defaultRowHeight="12.75" x14ac:dyDescent="0.2"/>
  <cols>
    <col min="1" max="1" width="14.875" customWidth="1"/>
    <col min="4" max="4" width="6.25" customWidth="1"/>
    <col min="5" max="5" width="5.75" customWidth="1"/>
    <col min="6" max="8" width="7.875" customWidth="1"/>
    <col min="9" max="9" width="9.625" customWidth="1"/>
    <col min="10" max="11" width="8.75" customWidth="1"/>
    <col min="12" max="12" width="8.25" hidden="1" customWidth="1"/>
    <col min="17" max="17" width="9.75" customWidth="1"/>
  </cols>
  <sheetData>
    <row r="2" spans="1:18" s="8" customFormat="1" x14ac:dyDescent="0.2">
      <c r="A2" s="8" t="s">
        <v>57</v>
      </c>
      <c r="B2" s="8" t="s">
        <v>58</v>
      </c>
      <c r="C2" s="8" t="s">
        <v>59</v>
      </c>
      <c r="D2" s="8" t="s">
        <v>60</v>
      </c>
      <c r="E2" s="8" t="s">
        <v>61</v>
      </c>
      <c r="F2" s="8" t="s">
        <v>62</v>
      </c>
      <c r="G2" s="8" t="s">
        <v>63</v>
      </c>
      <c r="H2" s="8" t="s">
        <v>64</v>
      </c>
      <c r="I2" s="8" t="s">
        <v>65</v>
      </c>
      <c r="J2" s="8" t="s">
        <v>66</v>
      </c>
      <c r="K2" s="8" t="s">
        <v>67</v>
      </c>
      <c r="L2" s="8" t="s">
        <v>68</v>
      </c>
      <c r="M2" s="8" t="s">
        <v>69</v>
      </c>
      <c r="N2" s="8" t="s">
        <v>70</v>
      </c>
      <c r="O2" s="8" t="s">
        <v>71</v>
      </c>
      <c r="P2" s="8" t="s">
        <v>64</v>
      </c>
      <c r="Q2" s="8" t="s">
        <v>72</v>
      </c>
      <c r="R2" s="8" t="s">
        <v>73</v>
      </c>
    </row>
    <row r="3" spans="1:18" x14ac:dyDescent="0.2">
      <c r="A3" t="s">
        <v>52</v>
      </c>
      <c r="B3">
        <v>0.5</v>
      </c>
      <c r="C3">
        <v>24.6</v>
      </c>
      <c r="D3" t="s">
        <v>42</v>
      </c>
      <c r="E3" t="s">
        <v>44</v>
      </c>
      <c r="F3">
        <v>26</v>
      </c>
      <c r="G3" s="5">
        <f>I3/B3</f>
        <v>1710</v>
      </c>
      <c r="H3" s="5">
        <f>G3/C3*B20</f>
        <v>69.512195121951208</v>
      </c>
      <c r="I3">
        <v>855</v>
      </c>
      <c r="J3" s="3">
        <f t="shared" ref="J3:J12" si="0">L3/7.25</f>
        <v>39.172413793103445</v>
      </c>
      <c r="K3" s="3">
        <f>J3*$B$18</f>
        <v>284</v>
      </c>
      <c r="L3">
        <v>284</v>
      </c>
      <c r="M3">
        <v>74</v>
      </c>
      <c r="N3">
        <f>L3+M3</f>
        <v>358</v>
      </c>
      <c r="O3">
        <f>I3-N3</f>
        <v>497</v>
      </c>
      <c r="P3" s="4">
        <f>O3/C3</f>
        <v>20.203252032520325</v>
      </c>
      <c r="Q3">
        <v>1.25</v>
      </c>
      <c r="R3" s="4">
        <f>Q3*P3</f>
        <v>25.254065040650406</v>
      </c>
    </row>
    <row r="4" spans="1:18" x14ac:dyDescent="0.2">
      <c r="A4" t="s">
        <v>51</v>
      </c>
      <c r="B4">
        <v>1.4</v>
      </c>
      <c r="C4">
        <v>77.8</v>
      </c>
      <c r="D4" t="s">
        <v>43</v>
      </c>
      <c r="E4" t="s">
        <v>45</v>
      </c>
      <c r="F4" t="s">
        <v>46</v>
      </c>
      <c r="G4" s="5">
        <f t="shared" ref="G4:G12" si="1">I4/B4</f>
        <v>1917.8571428571429</v>
      </c>
      <c r="H4" s="5">
        <f t="shared" ref="H4:H12" si="2">G4/C4</f>
        <v>24.651120088138086</v>
      </c>
      <c r="I4">
        <v>2685</v>
      </c>
      <c r="J4" s="3">
        <f t="shared" si="0"/>
        <v>186.20689655172413</v>
      </c>
      <c r="K4" s="3">
        <f t="shared" ref="K4:K13" si="3">J4*$B$18</f>
        <v>1350</v>
      </c>
      <c r="L4">
        <v>1350</v>
      </c>
      <c r="M4">
        <v>121</v>
      </c>
      <c r="N4">
        <f t="shared" ref="N4:N12" si="4">L4+M4</f>
        <v>1471</v>
      </c>
      <c r="O4">
        <f t="shared" ref="O4:O12" si="5">I4-N4</f>
        <v>1214</v>
      </c>
      <c r="P4" s="4">
        <f t="shared" ref="P4:P12" si="6">O4/C4</f>
        <v>15.604113110539846</v>
      </c>
      <c r="Q4">
        <v>1</v>
      </c>
      <c r="R4" s="4">
        <f t="shared" ref="R4:R12" si="7">Q4*P4</f>
        <v>15.604113110539846</v>
      </c>
    </row>
    <row r="5" spans="1:18" x14ac:dyDescent="0.2">
      <c r="A5" t="s">
        <v>53</v>
      </c>
      <c r="B5">
        <v>1.5</v>
      </c>
      <c r="C5">
        <v>27.2</v>
      </c>
      <c r="D5" t="s">
        <v>42</v>
      </c>
      <c r="E5" t="s">
        <v>44</v>
      </c>
      <c r="F5">
        <v>14.5</v>
      </c>
      <c r="G5" s="5">
        <f t="shared" si="1"/>
        <v>270.66666666666669</v>
      </c>
      <c r="H5" s="5">
        <f t="shared" si="2"/>
        <v>9.9509803921568629</v>
      </c>
      <c r="I5">
        <v>406</v>
      </c>
      <c r="J5" s="3">
        <f t="shared" si="0"/>
        <v>16.689655172413794</v>
      </c>
      <c r="K5" s="3">
        <f t="shared" si="3"/>
        <v>121</v>
      </c>
      <c r="L5">
        <v>121</v>
      </c>
      <c r="M5">
        <v>53</v>
      </c>
      <c r="N5">
        <f t="shared" si="4"/>
        <v>174</v>
      </c>
      <c r="O5">
        <f t="shared" si="5"/>
        <v>232</v>
      </c>
      <c r="P5" s="4">
        <f t="shared" si="6"/>
        <v>8.5294117647058822</v>
      </c>
      <c r="Q5">
        <v>2</v>
      </c>
      <c r="R5" s="4">
        <f t="shared" si="7"/>
        <v>17.058823529411764</v>
      </c>
    </row>
    <row r="6" spans="1:18" x14ac:dyDescent="0.2">
      <c r="A6" t="s">
        <v>54</v>
      </c>
      <c r="B6">
        <v>0.7</v>
      </c>
      <c r="C6">
        <v>8.6</v>
      </c>
      <c r="D6" t="s">
        <v>42</v>
      </c>
      <c r="E6" t="s">
        <v>44</v>
      </c>
      <c r="F6">
        <v>26</v>
      </c>
      <c r="G6" s="5">
        <f t="shared" si="1"/>
        <v>367.14285714285717</v>
      </c>
      <c r="H6" s="5">
        <f t="shared" si="2"/>
        <v>42.691029900332232</v>
      </c>
      <c r="I6">
        <v>257</v>
      </c>
      <c r="J6" s="3">
        <f t="shared" si="0"/>
        <v>22.758620689655171</v>
      </c>
      <c r="K6" s="3">
        <f t="shared" si="3"/>
        <v>165</v>
      </c>
      <c r="L6">
        <v>165</v>
      </c>
      <c r="M6">
        <v>24</v>
      </c>
      <c r="N6">
        <f t="shared" si="4"/>
        <v>189</v>
      </c>
      <c r="O6">
        <f t="shared" si="5"/>
        <v>68</v>
      </c>
      <c r="P6" s="4">
        <f t="shared" si="6"/>
        <v>7.9069767441860472</v>
      </c>
      <c r="Q6">
        <v>1.25</v>
      </c>
      <c r="R6" s="4">
        <f t="shared" si="7"/>
        <v>9.8837209302325597</v>
      </c>
    </row>
    <row r="7" spans="1:18" x14ac:dyDescent="0.2">
      <c r="A7" t="s">
        <v>55</v>
      </c>
      <c r="B7">
        <v>0.95</v>
      </c>
      <c r="C7">
        <v>16.5</v>
      </c>
      <c r="D7" t="s">
        <v>43</v>
      </c>
      <c r="E7" t="s">
        <v>45</v>
      </c>
      <c r="F7">
        <v>25</v>
      </c>
      <c r="G7" s="5">
        <f t="shared" si="1"/>
        <v>389.47368421052636</v>
      </c>
      <c r="H7" s="5">
        <f t="shared" si="2"/>
        <v>23.604465709728871</v>
      </c>
      <c r="I7">
        <v>370</v>
      </c>
      <c r="J7" s="3">
        <f t="shared" si="0"/>
        <v>43.448275862068968</v>
      </c>
      <c r="K7" s="3">
        <f t="shared" si="3"/>
        <v>315</v>
      </c>
      <c r="L7">
        <v>315</v>
      </c>
      <c r="M7">
        <v>25</v>
      </c>
      <c r="N7">
        <f t="shared" si="4"/>
        <v>340</v>
      </c>
      <c r="O7">
        <f t="shared" si="5"/>
        <v>30</v>
      </c>
      <c r="P7" s="4">
        <f t="shared" si="6"/>
        <v>1.8181818181818181</v>
      </c>
      <c r="Q7">
        <v>2</v>
      </c>
      <c r="R7" s="4">
        <f t="shared" si="7"/>
        <v>3.6363636363636362</v>
      </c>
    </row>
    <row r="8" spans="1:18" x14ac:dyDescent="0.2">
      <c r="A8" t="s">
        <v>56</v>
      </c>
      <c r="B8">
        <v>0.7</v>
      </c>
      <c r="C8">
        <v>18.75</v>
      </c>
      <c r="D8" t="s">
        <v>43</v>
      </c>
      <c r="E8" t="s">
        <v>45</v>
      </c>
      <c r="F8">
        <v>12.5</v>
      </c>
      <c r="G8" s="5">
        <f t="shared" si="1"/>
        <v>264.28571428571428</v>
      </c>
      <c r="H8" s="5">
        <f t="shared" si="2"/>
        <v>14.095238095238095</v>
      </c>
      <c r="I8">
        <v>185</v>
      </c>
      <c r="J8" s="3">
        <f t="shared" si="0"/>
        <v>23.310344827586206</v>
      </c>
      <c r="K8" s="3">
        <f t="shared" si="3"/>
        <v>169</v>
      </c>
      <c r="L8">
        <v>169</v>
      </c>
      <c r="M8">
        <v>18</v>
      </c>
      <c r="N8">
        <f t="shared" si="4"/>
        <v>187</v>
      </c>
      <c r="O8">
        <f t="shared" si="5"/>
        <v>-2</v>
      </c>
      <c r="P8" s="4">
        <f t="shared" si="6"/>
        <v>-0.10666666666666667</v>
      </c>
      <c r="Q8">
        <v>3</v>
      </c>
      <c r="R8" s="4">
        <f t="shared" si="7"/>
        <v>-0.32</v>
      </c>
    </row>
    <row r="9" spans="1:18" x14ac:dyDescent="0.2">
      <c r="A9" t="s">
        <v>18</v>
      </c>
      <c r="B9">
        <v>2</v>
      </c>
      <c r="C9">
        <v>76.8</v>
      </c>
      <c r="D9" t="s">
        <v>42</v>
      </c>
      <c r="E9" t="s">
        <v>44</v>
      </c>
      <c r="F9">
        <v>15</v>
      </c>
      <c r="G9" s="5">
        <f t="shared" si="1"/>
        <v>0</v>
      </c>
      <c r="H9" s="5">
        <f t="shared" si="2"/>
        <v>0</v>
      </c>
      <c r="I9">
        <v>0</v>
      </c>
      <c r="J9" s="3">
        <f t="shared" si="0"/>
        <v>12.413793103448276</v>
      </c>
      <c r="K9" s="3">
        <f t="shared" si="3"/>
        <v>90</v>
      </c>
      <c r="L9">
        <v>90</v>
      </c>
      <c r="M9">
        <v>91</v>
      </c>
      <c r="N9">
        <f t="shared" si="4"/>
        <v>181</v>
      </c>
      <c r="O9">
        <f t="shared" si="5"/>
        <v>-181</v>
      </c>
      <c r="P9" s="4">
        <f t="shared" si="6"/>
        <v>-2.3567708333333335</v>
      </c>
      <c r="Q9">
        <v>1.5</v>
      </c>
      <c r="R9" s="4">
        <f t="shared" si="7"/>
        <v>-3.53515625</v>
      </c>
    </row>
    <row r="10" spans="1:18" x14ac:dyDescent="0.2">
      <c r="A10" t="s">
        <v>19</v>
      </c>
      <c r="B10">
        <v>0.75</v>
      </c>
      <c r="C10">
        <v>29</v>
      </c>
      <c r="D10" t="s">
        <v>42</v>
      </c>
      <c r="E10" t="s">
        <v>44</v>
      </c>
      <c r="F10">
        <v>9</v>
      </c>
      <c r="G10" s="5">
        <f t="shared" si="1"/>
        <v>140</v>
      </c>
      <c r="H10" s="5">
        <f t="shared" si="2"/>
        <v>4.8275862068965516</v>
      </c>
      <c r="I10">
        <v>105</v>
      </c>
      <c r="J10" s="3">
        <f t="shared" si="0"/>
        <v>17.793103448275861</v>
      </c>
      <c r="K10" s="3">
        <f t="shared" si="3"/>
        <v>129</v>
      </c>
      <c r="L10">
        <v>129</v>
      </c>
      <c r="M10">
        <v>55</v>
      </c>
      <c r="N10">
        <f t="shared" si="4"/>
        <v>184</v>
      </c>
      <c r="O10">
        <f t="shared" si="5"/>
        <v>-79</v>
      </c>
      <c r="P10" s="4">
        <f t="shared" si="6"/>
        <v>-2.7241379310344827</v>
      </c>
      <c r="Q10">
        <v>2</v>
      </c>
      <c r="R10" s="4">
        <f t="shared" si="7"/>
        <v>-5.4482758620689653</v>
      </c>
    </row>
    <row r="11" spans="1:18" x14ac:dyDescent="0.2">
      <c r="A11" t="s">
        <v>40</v>
      </c>
      <c r="B11">
        <v>0.8</v>
      </c>
      <c r="C11">
        <v>18.8</v>
      </c>
      <c r="D11" t="s">
        <v>43</v>
      </c>
      <c r="E11" t="s">
        <v>45</v>
      </c>
      <c r="F11">
        <v>17</v>
      </c>
      <c r="G11" s="5">
        <f t="shared" si="1"/>
        <v>32.5</v>
      </c>
      <c r="H11" s="5">
        <f t="shared" si="2"/>
        <v>1.728723404255319</v>
      </c>
      <c r="I11">
        <v>26</v>
      </c>
      <c r="J11" s="3">
        <f t="shared" si="0"/>
        <v>8.5517241379310338</v>
      </c>
      <c r="K11" s="3">
        <f t="shared" si="3"/>
        <v>61.999999999999993</v>
      </c>
      <c r="L11">
        <v>62</v>
      </c>
      <c r="M11">
        <v>18</v>
      </c>
      <c r="N11">
        <f t="shared" si="4"/>
        <v>80</v>
      </c>
      <c r="O11">
        <f t="shared" si="5"/>
        <v>-54</v>
      </c>
      <c r="P11" s="4">
        <f t="shared" si="6"/>
        <v>-2.8723404255319149</v>
      </c>
      <c r="Q11">
        <v>2</v>
      </c>
      <c r="R11" s="4">
        <f t="shared" si="7"/>
        <v>-5.7446808510638299</v>
      </c>
    </row>
    <row r="12" spans="1:18" x14ac:dyDescent="0.2">
      <c r="A12" t="s">
        <v>41</v>
      </c>
      <c r="B12">
        <v>0.8</v>
      </c>
      <c r="C12">
        <v>29.5</v>
      </c>
      <c r="D12" t="s">
        <v>42</v>
      </c>
      <c r="E12" t="s">
        <v>44</v>
      </c>
      <c r="F12">
        <v>8</v>
      </c>
      <c r="G12" s="5">
        <f t="shared" si="1"/>
        <v>161.25</v>
      </c>
      <c r="H12" s="5">
        <f t="shared" si="2"/>
        <v>5.4661016949152543</v>
      </c>
      <c r="I12">
        <v>129</v>
      </c>
      <c r="J12" s="3">
        <f t="shared" si="0"/>
        <v>22.758620689655171</v>
      </c>
      <c r="K12" s="3">
        <f t="shared" si="3"/>
        <v>165</v>
      </c>
      <c r="L12">
        <v>165</v>
      </c>
      <c r="M12">
        <v>54</v>
      </c>
      <c r="N12">
        <f t="shared" si="4"/>
        <v>219</v>
      </c>
      <c r="O12">
        <f t="shared" si="5"/>
        <v>-90</v>
      </c>
      <c r="P12" s="4">
        <f t="shared" si="6"/>
        <v>-3.0508474576271185</v>
      </c>
      <c r="Q12">
        <v>3</v>
      </c>
      <c r="R12" s="4">
        <f t="shared" si="7"/>
        <v>-9.1525423728813564</v>
      </c>
    </row>
    <row r="13" spans="1:18" x14ac:dyDescent="0.2">
      <c r="C13" s="6">
        <f>SUM(C3:C12)</f>
        <v>327.55</v>
      </c>
      <c r="I13" s="6">
        <f>SUM(I3:I12)</f>
        <v>5018</v>
      </c>
      <c r="J13" s="7">
        <f>SUM(J3:J12)</f>
        <v>393.10344827586204</v>
      </c>
      <c r="K13" s="7">
        <f t="shared" si="3"/>
        <v>2849.9999999999995</v>
      </c>
      <c r="M13" s="6">
        <f>SUM(M3:M12)</f>
        <v>533</v>
      </c>
      <c r="N13" s="6">
        <f>SUM(N3:N12)</f>
        <v>3383</v>
      </c>
      <c r="O13" s="6">
        <f>SUM(O3:O12)</f>
        <v>1635</v>
      </c>
    </row>
    <row r="15" spans="1:18" x14ac:dyDescent="0.2">
      <c r="A15" t="s">
        <v>48</v>
      </c>
    </row>
    <row r="16" spans="1:18" x14ac:dyDescent="0.2">
      <c r="A16" t="s">
        <v>47</v>
      </c>
    </row>
    <row r="17" spans="1:13" x14ac:dyDescent="0.2">
      <c r="J17" t="s">
        <v>10</v>
      </c>
      <c r="K17" t="s">
        <v>11</v>
      </c>
      <c r="M17">
        <f>J3/C3</f>
        <v>1.5923745444350992</v>
      </c>
    </row>
    <row r="18" spans="1:13" x14ac:dyDescent="0.2">
      <c r="A18" t="s">
        <v>49</v>
      </c>
      <c r="B18">
        <v>7.25</v>
      </c>
      <c r="K18" t="s">
        <v>12</v>
      </c>
      <c r="M18">
        <f t="shared" ref="M18:M23" si="8">J4/C4</f>
        <v>2.393404839996454</v>
      </c>
    </row>
    <row r="19" spans="1:13" x14ac:dyDescent="0.2">
      <c r="M19">
        <f t="shared" si="8"/>
        <v>0.61359026369168357</v>
      </c>
    </row>
    <row r="20" spans="1:13" x14ac:dyDescent="0.2">
      <c r="B20">
        <v>1</v>
      </c>
      <c r="M20">
        <f t="shared" si="8"/>
        <v>2.6463512429831595</v>
      </c>
    </row>
    <row r="21" spans="1:13" x14ac:dyDescent="0.2">
      <c r="A21" t="s">
        <v>50</v>
      </c>
      <c r="B21">
        <v>1.5</v>
      </c>
      <c r="M21">
        <f t="shared" si="8"/>
        <v>2.6332288401253918</v>
      </c>
    </row>
    <row r="22" spans="1:13" x14ac:dyDescent="0.2">
      <c r="A22" t="s">
        <v>17</v>
      </c>
      <c r="B22">
        <v>0.5</v>
      </c>
      <c r="M22">
        <f t="shared" si="8"/>
        <v>1.2432183908045977</v>
      </c>
    </row>
    <row r="23" spans="1:13" x14ac:dyDescent="0.2">
      <c r="M23">
        <f t="shared" si="8"/>
        <v>0.16163793103448276</v>
      </c>
    </row>
  </sheetData>
  <phoneticPr fontId="3" type="noConversion"/>
  <pageMargins left="0.75" right="0.75" top="1" bottom="1" header="0.5" footer="0.5"/>
  <pageSetup paperSize="1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0"/>
  <sheetViews>
    <sheetView workbookViewId="0">
      <selection activeCell="C19" sqref="C19"/>
    </sheetView>
  </sheetViews>
  <sheetFormatPr defaultColWidth="11" defaultRowHeight="12.75" x14ac:dyDescent="0.2"/>
  <cols>
    <col min="2" max="2" width="13" customWidth="1"/>
  </cols>
  <sheetData>
    <row r="1" spans="1:4" x14ac:dyDescent="0.2">
      <c r="A1" t="s">
        <v>20</v>
      </c>
    </row>
    <row r="3" spans="1:4" x14ac:dyDescent="0.2">
      <c r="A3" t="s">
        <v>21</v>
      </c>
      <c r="C3" s="1">
        <v>4000</v>
      </c>
    </row>
    <row r="4" spans="1:4" x14ac:dyDescent="0.2">
      <c r="A4" t="s">
        <v>22</v>
      </c>
      <c r="C4" s="1">
        <v>1200</v>
      </c>
    </row>
    <row r="5" spans="1:4" x14ac:dyDescent="0.2">
      <c r="A5" t="s">
        <v>23</v>
      </c>
      <c r="C5">
        <v>150</v>
      </c>
    </row>
    <row r="7" spans="1:4" x14ac:dyDescent="0.2">
      <c r="A7" t="s">
        <v>25</v>
      </c>
      <c r="C7" s="1">
        <f>SUM(C3:C5)</f>
        <v>5350</v>
      </c>
    </row>
    <row r="8" spans="1:4" x14ac:dyDescent="0.2">
      <c r="A8" t="s">
        <v>24</v>
      </c>
      <c r="C8" s="1">
        <v>250</v>
      </c>
    </row>
    <row r="9" spans="1:4" x14ac:dyDescent="0.2">
      <c r="A9" t="s">
        <v>26</v>
      </c>
      <c r="C9" s="1">
        <v>5600</v>
      </c>
    </row>
    <row r="11" spans="1:4" x14ac:dyDescent="0.2">
      <c r="A11" t="s">
        <v>27</v>
      </c>
      <c r="C11">
        <v>560</v>
      </c>
    </row>
    <row r="12" spans="1:4" x14ac:dyDescent="0.2">
      <c r="A12" t="s">
        <v>28</v>
      </c>
      <c r="B12" t="s">
        <v>29</v>
      </c>
      <c r="C12" s="1">
        <v>270</v>
      </c>
    </row>
    <row r="13" spans="1:4" x14ac:dyDescent="0.2">
      <c r="A13" t="s">
        <v>30</v>
      </c>
      <c r="C13">
        <f>C12*90%</f>
        <v>243</v>
      </c>
    </row>
    <row r="15" spans="1:4" x14ac:dyDescent="0.2">
      <c r="A15" t="s">
        <v>31</v>
      </c>
      <c r="C15" s="2">
        <f>C11/C13</f>
        <v>2.3045267489711936</v>
      </c>
    </row>
    <row r="16" spans="1:4" x14ac:dyDescent="0.2">
      <c r="A16" t="s">
        <v>32</v>
      </c>
      <c r="D16" t="s">
        <v>39</v>
      </c>
    </row>
    <row r="17" spans="1:5" x14ac:dyDescent="0.2">
      <c r="A17" t="s">
        <v>33</v>
      </c>
      <c r="B17" t="s">
        <v>36</v>
      </c>
      <c r="C17">
        <v>13</v>
      </c>
      <c r="D17">
        <v>10</v>
      </c>
      <c r="E17">
        <f>C17*D17</f>
        <v>130</v>
      </c>
    </row>
    <row r="18" spans="1:5" x14ac:dyDescent="0.2">
      <c r="A18" t="s">
        <v>34</v>
      </c>
      <c r="B18" t="s">
        <v>37</v>
      </c>
      <c r="C18">
        <v>17</v>
      </c>
      <c r="D18">
        <v>4</v>
      </c>
      <c r="E18">
        <f t="shared" ref="E18:E19" si="0">C18*D18</f>
        <v>68</v>
      </c>
    </row>
    <row r="19" spans="1:5" x14ac:dyDescent="0.2">
      <c r="A19" t="s">
        <v>35</v>
      </c>
      <c r="B19" t="s">
        <v>38</v>
      </c>
      <c r="C19">
        <v>22</v>
      </c>
      <c r="D19">
        <v>1.5</v>
      </c>
      <c r="E19">
        <f t="shared" si="0"/>
        <v>33</v>
      </c>
    </row>
    <row r="20" spans="1:5" x14ac:dyDescent="0.2">
      <c r="E20">
        <f>E19+E18+E17</f>
        <v>231</v>
      </c>
    </row>
  </sheetData>
  <phoneticPr fontId="3" type="noConversion"/>
  <pageMargins left="0.75" right="0.75" top="1" bottom="1" header="0.5" footer="0.5"/>
  <pageSetup paperSize="10"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M19"/>
  <sheetViews>
    <sheetView zoomScaleNormal="100" workbookViewId="0">
      <selection activeCell="E12" sqref="E12"/>
    </sheetView>
  </sheetViews>
  <sheetFormatPr defaultColWidth="11" defaultRowHeight="12.75" x14ac:dyDescent="0.2"/>
  <cols>
    <col min="3" max="3" width="9.25" customWidth="1"/>
    <col min="5" max="5" width="7.625" customWidth="1"/>
    <col min="6" max="6" width="7.75" customWidth="1"/>
  </cols>
  <sheetData>
    <row r="2" spans="1:13" x14ac:dyDescent="0.2">
      <c r="A2" t="s">
        <v>74</v>
      </c>
      <c r="B2" t="s">
        <v>75</v>
      </c>
      <c r="C2" t="s">
        <v>76</v>
      </c>
      <c r="D2" t="s">
        <v>16</v>
      </c>
      <c r="E2" t="s">
        <v>77</v>
      </c>
      <c r="F2" t="s">
        <v>78</v>
      </c>
      <c r="G2" s="8" t="s">
        <v>66</v>
      </c>
      <c r="H2" s="8" t="s">
        <v>15</v>
      </c>
      <c r="I2" s="8" t="s">
        <v>68</v>
      </c>
      <c r="J2" s="8" t="s">
        <v>69</v>
      </c>
      <c r="K2" s="8" t="s">
        <v>70</v>
      </c>
      <c r="L2" s="8" t="s">
        <v>71</v>
      </c>
      <c r="M2" s="8" t="s">
        <v>64</v>
      </c>
    </row>
    <row r="3" spans="1:13" x14ac:dyDescent="0.2">
      <c r="A3" t="s">
        <v>79</v>
      </c>
      <c r="B3">
        <v>0.5</v>
      </c>
      <c r="C3" s="12">
        <f>243/4</f>
        <v>60.75</v>
      </c>
      <c r="D3" s="12">
        <f>C3*E3*$B$17</f>
        <v>4252.5</v>
      </c>
      <c r="E3">
        <v>70</v>
      </c>
      <c r="F3" s="9">
        <f t="shared" ref="F3:F9" si="0">D3*B3</f>
        <v>2126.25</v>
      </c>
      <c r="G3" s="3">
        <f>1.6*C3</f>
        <v>97.2</v>
      </c>
      <c r="H3" s="3">
        <f>G3*60/D3</f>
        <v>1.3714285714285714</v>
      </c>
      <c r="I3" s="12">
        <f t="shared" ref="I3:I9" si="1">G3*$B$15</f>
        <v>704.7</v>
      </c>
      <c r="J3" s="12">
        <v>74</v>
      </c>
      <c r="K3" s="12">
        <f>I3+J3</f>
        <v>778.7</v>
      </c>
      <c r="L3" s="9">
        <f t="shared" ref="L3:L9" si="2">F3-K3</f>
        <v>1347.55</v>
      </c>
      <c r="M3" s="4">
        <f t="shared" ref="M3:M9" si="3">L3/C3</f>
        <v>22.181893004115224</v>
      </c>
    </row>
    <row r="4" spans="1:13" x14ac:dyDescent="0.2">
      <c r="A4" t="s">
        <v>80</v>
      </c>
      <c r="B4">
        <v>1.4</v>
      </c>
      <c r="C4" s="12">
        <f>243/6</f>
        <v>40.5</v>
      </c>
      <c r="D4" s="12">
        <f t="shared" ref="D4:D9" si="4">C4*E4*$B$17</f>
        <v>1012.5</v>
      </c>
      <c r="E4">
        <v>25</v>
      </c>
      <c r="F4" s="9">
        <f t="shared" si="0"/>
        <v>1417.5</v>
      </c>
      <c r="G4" s="3">
        <f>2.4*C4</f>
        <v>97.2</v>
      </c>
      <c r="H4" s="3">
        <f t="shared" ref="H4:H9" si="5">G4*60/D4</f>
        <v>5.76</v>
      </c>
      <c r="I4" s="12">
        <f t="shared" si="1"/>
        <v>704.7</v>
      </c>
      <c r="J4" s="12">
        <v>121</v>
      </c>
      <c r="K4" s="12">
        <f t="shared" ref="K4:K9" si="6">I4+J4</f>
        <v>825.7</v>
      </c>
      <c r="L4" s="9">
        <f t="shared" si="2"/>
        <v>591.79999999999995</v>
      </c>
      <c r="M4" s="4">
        <f t="shared" si="3"/>
        <v>14.612345679012344</v>
      </c>
    </row>
    <row r="5" spans="1:13" x14ac:dyDescent="0.2">
      <c r="A5" t="s">
        <v>5</v>
      </c>
      <c r="B5">
        <v>1.5</v>
      </c>
      <c r="C5" s="12">
        <f>243/8</f>
        <v>30.375</v>
      </c>
      <c r="D5" s="12">
        <f t="shared" si="4"/>
        <v>60.75</v>
      </c>
      <c r="E5">
        <v>2</v>
      </c>
      <c r="F5" s="9">
        <f t="shared" si="0"/>
        <v>91.125</v>
      </c>
      <c r="G5" s="3">
        <f t="shared" ref="G5:G9" si="7">1.6*C5</f>
        <v>48.6</v>
      </c>
      <c r="H5" s="3">
        <f t="shared" si="5"/>
        <v>48</v>
      </c>
      <c r="I5" s="12">
        <f t="shared" si="1"/>
        <v>352.35</v>
      </c>
      <c r="J5" s="12">
        <v>53</v>
      </c>
      <c r="K5" s="12">
        <f t="shared" si="6"/>
        <v>405.35</v>
      </c>
      <c r="L5" s="9">
        <f t="shared" si="2"/>
        <v>-314.22500000000002</v>
      </c>
      <c r="M5" s="4">
        <f t="shared" si="3"/>
        <v>-10.344855967078191</v>
      </c>
    </row>
    <row r="6" spans="1:13" x14ac:dyDescent="0.2">
      <c r="A6" t="s">
        <v>6</v>
      </c>
      <c r="B6">
        <v>3.5</v>
      </c>
      <c r="C6" s="12">
        <f>243/16</f>
        <v>15.1875</v>
      </c>
      <c r="D6" s="12">
        <f t="shared" si="4"/>
        <v>30.375</v>
      </c>
      <c r="E6">
        <v>2</v>
      </c>
      <c r="F6" s="9">
        <f t="shared" si="0"/>
        <v>106.3125</v>
      </c>
      <c r="G6" s="3">
        <f t="shared" si="7"/>
        <v>24.3</v>
      </c>
      <c r="H6" s="3">
        <f t="shared" si="5"/>
        <v>48</v>
      </c>
      <c r="I6" s="12">
        <f t="shared" si="1"/>
        <v>176.17500000000001</v>
      </c>
      <c r="J6" s="12">
        <v>24</v>
      </c>
      <c r="K6" s="12">
        <f t="shared" si="6"/>
        <v>200.17500000000001</v>
      </c>
      <c r="L6" s="9">
        <f t="shared" si="2"/>
        <v>-93.862500000000011</v>
      </c>
      <c r="M6" s="4">
        <f t="shared" si="3"/>
        <v>-6.1802469135802474</v>
      </c>
    </row>
    <row r="7" spans="1:13" x14ac:dyDescent="0.2">
      <c r="A7" t="s">
        <v>7</v>
      </c>
      <c r="B7">
        <v>2.5</v>
      </c>
      <c r="C7" s="12">
        <f>243/16</f>
        <v>15.1875</v>
      </c>
      <c r="D7" s="12">
        <f t="shared" si="4"/>
        <v>60.75</v>
      </c>
      <c r="E7">
        <v>4</v>
      </c>
      <c r="F7" s="9">
        <f t="shared" si="0"/>
        <v>151.875</v>
      </c>
      <c r="G7" s="3">
        <v>30</v>
      </c>
      <c r="H7" s="3">
        <f t="shared" si="5"/>
        <v>29.62962962962963</v>
      </c>
      <c r="I7" s="12">
        <f t="shared" si="1"/>
        <v>217.5</v>
      </c>
      <c r="J7" s="12">
        <v>25</v>
      </c>
      <c r="K7" s="12">
        <f t="shared" si="6"/>
        <v>242.5</v>
      </c>
      <c r="L7" s="9">
        <f t="shared" si="2"/>
        <v>-90.625</v>
      </c>
      <c r="M7" s="4">
        <f t="shared" si="3"/>
        <v>-5.9670781893004117</v>
      </c>
    </row>
    <row r="8" spans="1:13" x14ac:dyDescent="0.2">
      <c r="A8" t="s">
        <v>8</v>
      </c>
      <c r="B8">
        <v>0.7</v>
      </c>
      <c r="C8" s="12">
        <f>243/6</f>
        <v>40.5</v>
      </c>
      <c r="D8" s="12">
        <f t="shared" si="4"/>
        <v>1215</v>
      </c>
      <c r="E8">
        <v>30</v>
      </c>
      <c r="F8" s="9">
        <f t="shared" si="0"/>
        <v>850.5</v>
      </c>
      <c r="G8" s="3">
        <f t="shared" si="7"/>
        <v>64.8</v>
      </c>
      <c r="H8" s="3">
        <v>3</v>
      </c>
      <c r="I8" s="12">
        <f t="shared" si="1"/>
        <v>469.79999999999995</v>
      </c>
      <c r="J8" s="12">
        <v>18</v>
      </c>
      <c r="K8" s="12">
        <f t="shared" si="6"/>
        <v>487.79999999999995</v>
      </c>
      <c r="L8" s="9">
        <f t="shared" si="2"/>
        <v>362.70000000000005</v>
      </c>
      <c r="M8" s="4">
        <f t="shared" si="3"/>
        <v>8.9555555555555575</v>
      </c>
    </row>
    <row r="9" spans="1:13" x14ac:dyDescent="0.2">
      <c r="A9" t="s">
        <v>9</v>
      </c>
      <c r="B9">
        <v>2</v>
      </c>
      <c r="C9" s="12">
        <f>243/6</f>
        <v>40.5</v>
      </c>
      <c r="D9" s="12">
        <f t="shared" si="4"/>
        <v>405</v>
      </c>
      <c r="E9">
        <v>10</v>
      </c>
      <c r="F9" s="9">
        <f t="shared" si="0"/>
        <v>810</v>
      </c>
      <c r="G9" s="3">
        <f t="shared" si="7"/>
        <v>64.8</v>
      </c>
      <c r="H9" s="3">
        <f t="shared" si="5"/>
        <v>9.6</v>
      </c>
      <c r="I9" s="12">
        <f t="shared" si="1"/>
        <v>469.79999999999995</v>
      </c>
      <c r="J9" s="12">
        <v>91</v>
      </c>
      <c r="K9" s="12">
        <f t="shared" si="6"/>
        <v>560.79999999999995</v>
      </c>
      <c r="L9" s="9">
        <f t="shared" si="2"/>
        <v>249.20000000000005</v>
      </c>
      <c r="M9" s="4">
        <f t="shared" si="3"/>
        <v>6.1530864197530875</v>
      </c>
    </row>
    <row r="10" spans="1:13" s="8" customFormat="1" x14ac:dyDescent="0.2">
      <c r="A10" s="8" t="s">
        <v>13</v>
      </c>
      <c r="C10" s="8">
        <f>SUM(C3:C9)</f>
        <v>243</v>
      </c>
      <c r="F10" s="10">
        <f>SUM(F3:F9)</f>
        <v>5553.5625</v>
      </c>
      <c r="G10" s="10">
        <f t="shared" ref="G10:L10" si="8">SUM(G3:G9)</f>
        <v>426.90000000000003</v>
      </c>
      <c r="H10" s="10"/>
      <c r="I10" s="10">
        <f t="shared" si="8"/>
        <v>3095.0250000000005</v>
      </c>
      <c r="J10" s="10">
        <f t="shared" si="8"/>
        <v>406</v>
      </c>
      <c r="K10" s="10">
        <f t="shared" si="8"/>
        <v>3501.0250000000005</v>
      </c>
      <c r="L10" s="10">
        <f t="shared" si="8"/>
        <v>2052.5375000000004</v>
      </c>
      <c r="M10" s="11"/>
    </row>
    <row r="11" spans="1:13" s="8" customFormat="1" x14ac:dyDescent="0.2">
      <c r="F11" s="10"/>
      <c r="G11" s="10"/>
      <c r="H11" s="10"/>
      <c r="I11" s="10"/>
      <c r="J11" s="10"/>
      <c r="K11" s="10"/>
      <c r="L11" s="10"/>
      <c r="M11" s="11"/>
    </row>
    <row r="12" spans="1:13" x14ac:dyDescent="0.2">
      <c r="A12" t="s">
        <v>0</v>
      </c>
      <c r="M12" s="4"/>
    </row>
    <row r="13" spans="1:13" x14ac:dyDescent="0.2">
      <c r="A13" t="s">
        <v>1</v>
      </c>
      <c r="G13" s="7"/>
      <c r="H13" s="7"/>
      <c r="J13" s="6"/>
      <c r="K13" s="6"/>
    </row>
    <row r="15" spans="1:13" x14ac:dyDescent="0.2">
      <c r="A15" t="s">
        <v>2</v>
      </c>
      <c r="B15">
        <v>7.25</v>
      </c>
    </row>
    <row r="17" spans="1:2" x14ac:dyDescent="0.2">
      <c r="A17" t="s">
        <v>14</v>
      </c>
      <c r="B17">
        <v>1</v>
      </c>
    </row>
    <row r="18" spans="1:2" x14ac:dyDescent="0.2">
      <c r="A18" t="s">
        <v>3</v>
      </c>
      <c r="B18">
        <v>1.5</v>
      </c>
    </row>
    <row r="19" spans="1:2" x14ac:dyDescent="0.2">
      <c r="A19" t="s">
        <v>4</v>
      </c>
      <c r="B19">
        <v>0.5</v>
      </c>
    </row>
  </sheetData>
  <phoneticPr fontId="3" type="noConversion"/>
  <pageMargins left="0.75" right="0.75" top="1" bottom="1" header="0.5" footer="0.5"/>
  <pageSetup paperSize="10"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whitmuir organics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 Ritchie</dc:creator>
  <cp:lastModifiedBy>Mies</cp:lastModifiedBy>
  <dcterms:created xsi:type="dcterms:W3CDTF">2014-06-09T04:45:35Z</dcterms:created>
  <dcterms:modified xsi:type="dcterms:W3CDTF">2018-02-16T18:40:30Z</dcterms:modified>
</cp:coreProperties>
</file>